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975" windowWidth="15600" windowHeight="639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calcOnSave="0"/>
</workbook>
</file>

<file path=xl/calcChain.xml><?xml version="1.0" encoding="utf-8"?>
<calcChain xmlns="http://schemas.openxmlformats.org/spreadsheetml/2006/main">
  <c r="P26" i="7" l="1"/>
  <c r="O26" i="7"/>
  <c r="N26" i="7"/>
  <c r="M26" i="7"/>
  <c r="L26" i="7"/>
  <c r="K26" i="7"/>
  <c r="J26" i="7"/>
  <c r="I26" i="7"/>
  <c r="H26" i="7"/>
  <c r="F26" i="7"/>
  <c r="P25" i="7"/>
  <c r="O25" i="7"/>
  <c r="N25" i="7"/>
  <c r="M25" i="7"/>
  <c r="L25" i="7"/>
  <c r="K25" i="7"/>
  <c r="J25" i="7"/>
  <c r="I25" i="7"/>
  <c r="H25" i="7"/>
  <c r="F25" i="7"/>
  <c r="P24" i="7"/>
  <c r="O24" i="7"/>
  <c r="N24" i="7"/>
  <c r="M24" i="7"/>
  <c r="L24" i="7"/>
  <c r="K24" i="7"/>
  <c r="J24" i="7"/>
  <c r="I24" i="7"/>
  <c r="H24" i="7"/>
  <c r="F24" i="7"/>
  <c r="P23" i="7"/>
  <c r="O23" i="7"/>
  <c r="N23" i="7"/>
  <c r="M23" i="7"/>
  <c r="L23" i="7"/>
  <c r="K23" i="7"/>
  <c r="J23" i="7"/>
  <c r="I23" i="7"/>
  <c r="H23" i="7"/>
  <c r="F23" i="7"/>
  <c r="P22" i="7"/>
  <c r="O22" i="7"/>
  <c r="N22" i="7"/>
  <c r="M22" i="7"/>
  <c r="L22" i="7"/>
  <c r="K22" i="7"/>
  <c r="J22" i="7"/>
  <c r="I22" i="7"/>
  <c r="H22" i="7"/>
  <c r="F22" i="7"/>
  <c r="P21" i="7"/>
  <c r="O21" i="7"/>
  <c r="N21" i="7"/>
  <c r="M21" i="7"/>
  <c r="L21" i="7"/>
  <c r="K21" i="7"/>
  <c r="J21" i="7"/>
  <c r="I21" i="7"/>
  <c r="H21" i="7"/>
  <c r="F21" i="7"/>
  <c r="P20" i="7"/>
  <c r="O20" i="7"/>
  <c r="N20" i="7"/>
  <c r="M20" i="7"/>
  <c r="L20" i="7"/>
  <c r="K20" i="7"/>
  <c r="J20" i="7"/>
  <c r="I20" i="7"/>
  <c r="H20" i="7"/>
  <c r="F20" i="7"/>
  <c r="P19" i="7"/>
  <c r="O19" i="7"/>
  <c r="N19" i="7"/>
  <c r="M19" i="7"/>
  <c r="L19" i="7"/>
  <c r="K19" i="7"/>
  <c r="J19" i="7"/>
  <c r="I19" i="7"/>
  <c r="H19" i="7"/>
  <c r="F19" i="7"/>
  <c r="P18" i="7"/>
  <c r="O18" i="7"/>
  <c r="N18" i="7"/>
  <c r="M18" i="7"/>
  <c r="L18" i="7"/>
  <c r="K18" i="7"/>
  <c r="J18" i="7"/>
  <c r="I18" i="7"/>
  <c r="H18" i="7"/>
  <c r="F18" i="7"/>
  <c r="P17" i="7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<sst xmlns="http://schemas.openxmlformats.org/spreadsheetml/2006/main" count="1375" uniqueCount="677">
  <si>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</si>
  <si>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</si>
  <si>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</si>
  <si>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</si>
  <si>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</si>
  <si>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</si>
  <si>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</si>
  <si>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</si>
  <si>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</si>
  <si>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</si>
  <si>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</si>
  <si>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</si>
  <si>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</si>
  <si>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</si>
  <si>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</si>
  <si>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</si>
  <si>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</si>
  <si>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</si>
  <si>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</si>
  <si>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</si>
  <si>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</si>
  <si>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</si>
  <si>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</si>
  <si>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</si>
  <si>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</si>
  <si>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</si>
  <si>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</si>
  <si>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</si>
  <si>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</si>
  <si>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</si>
  <si>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</si>
  <si>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</si>
  <si>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</si>
  <si>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</si>
  <si>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</si>
  <si>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</si>
  <si>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</si>
  <si>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</si>
  <si>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</si>
  <si>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</si>
  <si>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</si>
  <si>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</si>
  <si>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</si>
  <si>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</si>
  <si>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</si>
  <si>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</si>
  <si>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</si>
  <si>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</si>
  <si>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</si>
  <si>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</si>
  <si>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</si>
  <si>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</si>
  <si>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</si>
  <si>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</si>
  <si>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</si>
  <si>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</si>
  <si>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</si>
  <si>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</si>
  <si>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</si>
  <si>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</si>
  <si>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</si>
  <si>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</si>
  <si>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</si>
  <si>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</si>
  <si>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</si>
  <si>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</si>
  <si>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</si>
  <si>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</si>
  <si>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</si>
  <si>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</si>
  <si>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</si>
  <si>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</si>
  <si>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</si>
  <si>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</si>
  <si>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</si>
  <si>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</si>
  <si>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</si>
  <si>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</si>
  <si>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</si>
  <si>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</si>
  <si>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</si>
  <si>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</si>
  <si>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</si>
  <si>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</si>
  <si>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</si>
  <si>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</si>
  <si>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</si>
  <si>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</si>
  <si>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</si>
  <si>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</si>
  <si>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</si>
  <si>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</si>
  <si>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</si>
  <si>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</si>
  <si>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</si>
  <si>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</si>
  <si>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</si>
  <si>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</si>
  <si>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</si>
  <si>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</si>
  <si>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</si>
  <si>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</si>
  <si>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</si>
  <si>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</si>
  <si>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</si>
  <si>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</si>
  <si>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</si>
  <si>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</si>
  <si>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</si>
  <si>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</si>
  <si>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</si>
  <si>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</si>
  <si>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</si>
  <si>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</si>
  <si>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</si>
  <si>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</si>
  <si>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</si>
  <si>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</si>
  <si>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</si>
  <si>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</si>
  <si>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</si>
  <si>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</si>
  <si>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</si>
  <si>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</si>
  <si>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</si>
  <si>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</si>
  <si>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</si>
  <si>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</si>
  <si>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</si>
  <si>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</si>
  <si>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</si>
  <si>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</si>
  <si>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</si>
  <si>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</si>
  <si>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</si>
  <si>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</si>
  <si>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</si>
  <si>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</si>
  <si>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</si>
  <si>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</si>
  <si>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</si>
  <si>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</si>
  <si>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</si>
  <si>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</si>
  <si>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</si>
  <si>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</si>
  <si>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</si>
  <si>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</si>
  <si>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</si>
  <si>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</si>
  <si>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</si>
  <si>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</si>
  <si>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</si>
  <si>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</si>
  <si>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</si>
  <si>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</si>
  <si>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</si>
  <si>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</si>
  <si>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</si>
  <si>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</si>
  <si>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</si>
  <si>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</si>
  <si>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</si>
  <si>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</si>
  <si>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</si>
  <si>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</si>
  <si>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</si>
  <si>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</si>
  <si>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</si>
  <si>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</si>
  <si>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</si>
  <si>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</si>
  <si>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</si>
  <si>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</si>
  <si>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</si>
  <si>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</si>
  <si>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</si>
  <si>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</si>
  <si>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</si>
  <si>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</si>
  <si>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</si>
  <si>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</si>
  <si>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</si>
  <si>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</si>
  <si>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</si>
  <si>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</si>
  <si>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</si>
  <si>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</si>
  <si>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</si>
  <si>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</si>
  <si>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</si>
  <si>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</si>
  <si>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</si>
  <si>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</si>
  <si>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</si>
  <si>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</si>
  <si>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</si>
  <si>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</si>
  <si>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</si>
  <si>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</si>
  <si>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</si>
  <si>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</si>
  <si>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</si>
  <si>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</si>
  <si>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</si>
  <si>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</si>
  <si>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</si>
  <si>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</si>
  <si>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</si>
  <si>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</si>
  <si>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</si>
  <si>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</si>
  <si>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</si>
  <si>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</si>
  <si>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</si>
  <si>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</si>
  <si>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</si>
  <si>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</si>
  <si>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</si>
  <si>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</si>
  <si>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</si>
  <si>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</si>
  <si>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</si>
  <si>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</si>
  <si>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</si>
  <si>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</si>
  <si>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</si>
  <si>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</si>
  <si>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</si>
  <si>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</si>
  <si>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</si>
  <si>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</si>
  <si>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</si>
  <si>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</si>
  <si>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</si>
  <si>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</si>
  <si>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</si>
  <si>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</si>
  <si>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</si>
  <si>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</si>
  <si>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</si>
  <si>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</si>
  <si>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</si>
  <si>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</si>
  <si>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</si>
  <si>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</si>
  <si>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</si>
  <si>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</si>
  <si>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</si>
  <si>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</si>
  <si>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</si>
  <si>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</si>
  <si>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</si>
  <si>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</si>
  <si>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</si>
  <si>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</si>
  <si>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</si>
  <si>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</si>
  <si>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</si>
  <si>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</si>
  <si>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</si>
  <si>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</si>
  <si>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</si>
  <si>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</si>
  <si>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</si>
  <si>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</si>
  <si>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</si>
  <si>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</si>
  <si>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</si>
  <si>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</si>
  <si>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</si>
  <si>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</si>
  <si>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</si>
  <si>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</si>
  <si>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</si>
  <si>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</si>
  <si>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</si>
  <si>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</si>
  <si>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</si>
  <si>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</si>
  <si>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</si>
  <si>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</si>
  <si>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</si>
  <si>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</si>
  <si>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</si>
  <si>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</si>
  <si>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</si>
  <si>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</si>
  <si>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</si>
  <si>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</si>
  <si>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</si>
  <si>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</si>
  <si>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</si>
  <si>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</si>
  <si>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</si>
  <si>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</si>
  <si>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</si>
  <si>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</si>
  <si>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</si>
  <si>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</si>
  <si>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</si>
  <si>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</si>
  <si>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</si>
  <si>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</si>
  <si>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</si>
  <si>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</si>
  <si>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</si>
  <si>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</si>
  <si>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</si>
  <si>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</si>
  <si>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</si>
  <si>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</si>
  <si>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</si>
  <si>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</si>
  <si>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</si>
  <si>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</si>
  <si>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</si>
  <si>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</si>
  <si>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</si>
  <si>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</si>
  <si>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</si>
  <si>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</si>
  <si>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</si>
  <si>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</si>
  <si>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</si>
  <si>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</si>
  <si>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</si>
  <si>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</si>
  <si>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</si>
  <si>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</si>
  <si>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</si>
  <si>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</si>
  <si>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</si>
  <si>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</si>
  <si>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</si>
  <si>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</si>
  <si>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</si>
  <si>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</si>
  <si>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</si>
  <si>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</si>
  <si>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</si>
  <si>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</si>
  <si>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</si>
  <si>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</si>
  <si>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</si>
  <si>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</si>
  <si>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</si>
  <si>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</si>
  <si>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</si>
  <si>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</si>
  <si>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</si>
  <si>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</si>
  <si>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</si>
  <si>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</si>
  <si>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</si>
  <si>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</si>
  <si>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</si>
  <si>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</si>
  <si>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</si>
  <si>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</si>
  <si>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</si>
  <si>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</si>
  <si>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</si>
  <si>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</si>
  <si>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</si>
  <si>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</si>
  <si>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</si>
  <si>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</si>
  <si>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</si>
  <si>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</si>
  <si>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</si>
  <si>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</si>
  <si>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</si>
  <si>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</si>
  <si>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</si>
  <si>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</si>
  <si>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</si>
  <si>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</si>
  <si>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</si>
  <si>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</si>
  <si>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</si>
  <si>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</si>
  <si>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</si>
  <si>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</si>
  <si>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</si>
  <si>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</si>
  <si>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</si>
  <si>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</si>
  <si>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</si>
  <si>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</si>
  <si>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</si>
  <si>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</si>
  <si>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</si>
  <si>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</si>
  <si>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</si>
  <si>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</si>
  <si>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</si>
  <si>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</si>
  <si>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</si>
  <si>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</si>
  <si>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</si>
  <si>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</si>
  <si>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</si>
  <si>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</si>
  <si>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</si>
  <si>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</si>
  <si>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</si>
  <si>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</si>
  <si>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</si>
  <si>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</si>
  <si>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</si>
  <si>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</si>
  <si>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</si>
  <si>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</si>
  <si>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</si>
  <si>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</si>
  <si>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</si>
  <si>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</si>
  <si>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</si>
  <si>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</si>
  <si>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</si>
  <si>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</si>
  <si>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</si>
  <si>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</si>
  <si>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</si>
  <si>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</si>
  <si>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</si>
  <si>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</si>
  <si>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</si>
  <si>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</si>
  <si>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</si>
  <si>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</si>
  <si>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</si>
  <si>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</si>
  <si>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</si>
  <si>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</si>
  <si>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</si>
  <si>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</si>
  <si>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</si>
  <si>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</si>
  <si>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</si>
  <si>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</si>
  <si>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</si>
  <si>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</si>
  <si>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</si>
  <si>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</si>
  <si>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</si>
  <si>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</si>
  <si>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</si>
  <si>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</si>
  <si>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</si>
  <si>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</si>
  <si>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</si>
  <si>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</si>
  <si>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</si>
  <si>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</si>
  <si>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</si>
  <si>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</si>
  <si>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</si>
  <si>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</si>
  <si>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</si>
  <si>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</si>
  <si>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</si>
  <si>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</si>
  <si>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</si>
  <si>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</si>
  <si>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</si>
  <si>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</si>
  <si>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</si>
  <si>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</si>
  <si>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</si>
  <si>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</si>
  <si>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</si>
  <si>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</si>
  <si>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</si>
  <si>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</si>
  <si>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</si>
  <si>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</si>
  <si>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</si>
  <si>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</si>
  <si>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</si>
  <si>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</si>
  <si>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</si>
  <si>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</si>
  <si>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</si>
  <si>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</si>
  <si>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</si>
  <si>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</si>
  <si>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</si>
  <si>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</si>
  <si>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</si>
  <si>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</si>
  <si>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</si>
  <si>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</si>
  <si>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</si>
  <si>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</si>
  <si>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</si>
  <si>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</si>
  <si>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</si>
  <si>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</si>
  <si>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</si>
  <si>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</si>
  <si>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</si>
  <si>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</si>
  <si>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</si>
  <si>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</si>
  <si>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</si>
  <si>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</si>
  <si>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</si>
  <si>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</si>
  <si>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</si>
  <si>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</si>
  <si>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</si>
  <si>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</si>
  <si>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</si>
  <si>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</si>
  <si>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</si>
  <si>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</si>
  <si>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</si>
  <si>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</si>
  <si>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</si>
  <si>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</si>
  <si>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</si>
  <si>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</si>
  <si>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</si>
  <si>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</si>
  <si>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</si>
  <si>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</si>
  <si>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</si>
  <si>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</si>
  <si>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</si>
  <si>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</si>
  <si>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</si>
  <si>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</si>
  <si>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</si>
  <si>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</si>
  <si>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</si>
  <si>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</si>
  <si>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</si>
  <si>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</si>
  <si>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</si>
  <si>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</si>
  <si>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</si>
  <si>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</si>
  <si>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</si>
  <si>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</si>
  <si>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</si>
  <si>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</si>
  <si>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</si>
  <si>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</si>
  <si>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</si>
  <si>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</si>
  <si>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</si>
  <si>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</si>
  <si>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</si>
  <si>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</si>
  <si>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</si>
  <si>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</si>
  <si>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</si>
  <si>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</si>
  <si>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</si>
  <si>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</si>
  <si>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</si>
  <si>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</si>
  <si>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</si>
  <si>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</si>
  <si>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</si>
  <si>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</si>
  <si>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</si>
  <si>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</si>
  <si>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</si>
  <si>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</si>
  <si>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</si>
  <si>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</si>
  <si>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</si>
  <si>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</si>
  <si>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</si>
  <si>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</si>
  <si>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</si>
  <si>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</si>
  <si>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</si>
  <si>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</si>
  <si>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</si>
  <si>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</si>
  <si>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</si>
  <si>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</si>
  <si>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</si>
  <si>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</si>
  <si>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</si>
  <si>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</si>
  <si>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</si>
  <si>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</si>
  <si>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</si>
  <si>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</si>
  <si>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</si>
  <si>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</si>
  <si>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</si>
  <si>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</si>
  <si>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</si>
  <si>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</si>
  <si>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</si>
  <si>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</si>
  <si>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</si>
  <si>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</si>
  <si>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</si>
  <si>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</si>
  <si>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</si>
  <si>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</si>
  <si>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</si>
  <si>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</si>
  <si>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</si>
  <si>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</si>
  <si>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</si>
  <si>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</si>
  <si>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</si>
  <si>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</si>
  <si>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</si>
  <si>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</si>
  <si>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</si>
  <si>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</si>
  <si>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</si>
  <si>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</si>
  <si>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</si>
  <si>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</si>
  <si>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</si>
  <si>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</si>
  <si>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</si>
  <si>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</si>
  <si>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</si>
  <si>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</si>
  <si>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</si>
  <si>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</si>
  <si>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</si>
  <si>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</si>
  <si>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</si>
  <si>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</si>
  <si>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</si>
  <si>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</si>
  <si>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</si>
  <si>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</si>
  <si>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</si>
  <si>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</si>
  <si>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</si>
  <si>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</si>
  <si>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</si>
  <si>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</si>
  <si>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</si>
  <si>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</si>
  <si>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</si>
  <si>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</si>
  <si>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</si>
  <si>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</si>
  <si>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</si>
  <si>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</si>
  <si>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Stadtwerke Neu-Isenburg GmbH</t>
  </si>
  <si>
    <t>9870007100009</t>
  </si>
  <si>
    <t>Schleussnerstraße 62</t>
  </si>
  <si>
    <t>Neu-Isenburg</t>
  </si>
  <si>
    <t>Frau Panknin</t>
  </si>
  <si>
    <t>netznutzung-gas@swni.de</t>
  </si>
  <si>
    <t>06102/246-316</t>
  </si>
  <si>
    <t>NCHN007000710000</t>
  </si>
  <si>
    <t>GASPOOLNH7000711</t>
  </si>
  <si>
    <t>Frankfurt/Flughafen</t>
  </si>
  <si>
    <t>DE_GKO33</t>
  </si>
  <si>
    <t>DE_HEF03</t>
  </si>
  <si>
    <t>DE_GMK33</t>
  </si>
  <si>
    <t>DE_GHA33</t>
  </si>
  <si>
    <t>DE_GBD33</t>
  </si>
  <si>
    <t>DE_GGA33</t>
  </si>
  <si>
    <t>DE_GBH33</t>
  </si>
  <si>
    <t>DE_GWA33</t>
  </si>
  <si>
    <t>DE_GHD33</t>
  </si>
  <si>
    <t>DE_GGB33</t>
  </si>
  <si>
    <t>DE_GPD33</t>
  </si>
  <si>
    <t>DE_GMF03</t>
  </si>
  <si>
    <t>DE_GBA03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</si>
</sst>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337</v>
      </c>
    </row>
    <row r="8" spans="2:7" s="8" customFormat="1">
      <c r="B8" s="8" t="s">
        <v>461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497</v>
      </c>
    </row>
    <row r="12" spans="2:7" s="8" customFormat="1">
      <c r="B12" s="8" t="s">
        <v>498</v>
      </c>
    </row>
    <row r="13" spans="2:7" s="8" customFormat="1">
      <c r="B13" s="8" t="s">
        <v>504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42205</v>
      </c>
      <c r="E29" s="8"/>
      <c r="F29" s="8"/>
      <c r="G29" s="8"/>
      <c r="H29" s="8"/>
    </row>
    <row r="30" spans="2:12">
      <c r="B30" s="21" t="s">
        <v>347</v>
      </c>
      <c r="C30" s="327" t="s">
        <v>647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6" sqref="D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651</v>
      </c>
      <c r="D4" s="27">
        <v>42309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650</v>
      </c>
      <c r="D6" s="27">
        <v>42370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654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484</v>
      </c>
      <c r="D11" s="331" t="s">
        <v>655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63263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659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2" t="s">
        <v>395</v>
      </c>
      <c r="E27" s="39"/>
      <c r="F27" s="11"/>
    </row>
    <row r="28" spans="1:15">
      <c r="B28" s="15"/>
      <c r="C28" s="65" t="s">
        <v>500</v>
      </c>
      <c r="D28" s="48" t="str">
        <f>IF(D27&lt;&gt;C28,VLOOKUP(D27,$C$29:$D$48,2,FALSE),C28)</f>
        <v>Neu-Isenburg</v>
      </c>
      <c r="E28" s="38"/>
      <c r="F28" s="11"/>
      <c r="G28" s="2"/>
    </row>
    <row r="29" spans="1:15">
      <c r="B29" s="15"/>
      <c r="C29" s="22" t="s">
        <v>395</v>
      </c>
      <c r="D29" s="45" t="s">
        <v>657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1" priority="2">
      <formula>IF(CELL("Zeile",D29)&lt;$D$25+CELL("Zeile",$D$29),1,0)</formula>
    </cfRule>
  </conditionalFormatting>
  <conditionalFormatting sqref="D30:D48">
    <cfRule type="expression" dxfId="6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8" zoomScale="80" zoomScaleNormal="80" workbookViewId="0">
      <selection activeCell="D46" sqref="D4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Stadtwerke Neu-Isenburg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Neu-Isenburg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9870007100009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42370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259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612</v>
      </c>
      <c r="D13" s="33" t="s">
        <v>613</v>
      </c>
      <c r="E13" s="15"/>
      <c r="H13" s="271" t="s">
        <v>613</v>
      </c>
      <c r="I13" s="271" t="s">
        <v>614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429</v>
      </c>
      <c r="D15" s="42" t="s">
        <v>661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662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572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610</v>
      </c>
      <c r="D22" s="49" t="s">
        <v>606</v>
      </c>
      <c r="E22" s="15"/>
      <c r="H22" s="267" t="s">
        <v>606</v>
      </c>
      <c r="I22" s="267" t="s">
        <v>607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608</v>
      </c>
      <c r="E23" s="15"/>
      <c r="H23" s="267" t="s">
        <v>609</v>
      </c>
      <c r="I23" s="8" t="s">
        <v>605</v>
      </c>
      <c r="J23" s="8"/>
      <c r="K23" s="8"/>
      <c r="L23" s="268"/>
    </row>
    <row r="24" spans="2:16" ht="15" customHeight="1">
      <c r="B24" s="22"/>
      <c r="C24" s="24" t="s">
        <v>611</v>
      </c>
      <c r="D24" s="24" t="str">
        <f>IF(D22=$H$22,L24,IF(D23=$H$24,M24,N24))</f>
        <v>=&gt;  Q(D) = KW  x  h(T, SLP-Typ)  x  F(WT)</v>
      </c>
      <c r="E24" s="15"/>
      <c r="H24" s="267" t="s">
        <v>608</v>
      </c>
      <c r="I24" s="267" t="s">
        <v>615</v>
      </c>
      <c r="J24" s="8"/>
      <c r="K24" s="8"/>
      <c r="L24" s="270" t="s">
        <v>616</v>
      </c>
      <c r="M24" s="270" t="s">
        <v>618</v>
      </c>
      <c r="N24" s="270" t="s">
        <v>617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575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619</v>
      </c>
      <c r="D27" s="42" t="s">
        <v>620</v>
      </c>
      <c r="E27" s="15"/>
      <c r="H27" s="297" t="s">
        <v>620</v>
      </c>
      <c r="I27" s="269" t="s">
        <v>621</v>
      </c>
      <c r="J27" s="269" t="s">
        <v>622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623</v>
      </c>
      <c r="I28" s="270" t="s">
        <v>624</v>
      </c>
      <c r="J28" s="270" t="s">
        <v>625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626</v>
      </c>
      <c r="I29" s="270" t="s">
        <v>627</v>
      </c>
      <c r="J29" s="270" t="s">
        <v>628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574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629</v>
      </c>
      <c r="I32" s="270" t="s">
        <v>630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631</v>
      </c>
      <c r="I33" s="267" t="s">
        <v>626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546</v>
      </c>
      <c r="C35" s="24" t="s">
        <v>494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547</v>
      </c>
      <c r="C37" s="5" t="s">
        <v>365</v>
      </c>
      <c r="D37" s="34">
        <v>1500000</v>
      </c>
      <c r="E37" s="15" t="s">
        <v>505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548</v>
      </c>
      <c r="C40" s="5" t="s">
        <v>366</v>
      </c>
      <c r="D40" s="36">
        <v>500</v>
      </c>
      <c r="E40" s="15" t="s">
        <v>538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537</v>
      </c>
    </row>
    <row r="44" spans="2:39" ht="18" customHeight="1">
      <c r="C44" s="3" t="s">
        <v>539</v>
      </c>
    </row>
    <row r="45" spans="2:39" ht="18" customHeight="1">
      <c r="C45" s="3"/>
    </row>
    <row r="46" spans="2:39" ht="15" customHeight="1">
      <c r="B46" s="22" t="s">
        <v>549</v>
      </c>
      <c r="C46" s="60" t="s">
        <v>573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583</v>
      </c>
      <c r="D48" s="45" t="s">
        <v>657</v>
      </c>
    </row>
    <row r="49" spans="3:4" ht="18" customHeight="1">
      <c r="C49" s="22" t="s">
        <v>584</v>
      </c>
      <c r="D49" s="45"/>
    </row>
    <row r="50" spans="3:4" ht="18" customHeight="1">
      <c r="C50" s="22" t="s">
        <v>585</v>
      </c>
      <c r="D50" s="45"/>
    </row>
    <row r="51" spans="3:4" ht="18" customHeight="1">
      <c r="C51" s="22" t="s">
        <v>586</v>
      </c>
      <c r="D51" s="45"/>
    </row>
    <row r="52" spans="3:4" ht="18" customHeight="1">
      <c r="C52" s="22" t="s">
        <v>587</v>
      </c>
      <c r="D52" s="45"/>
    </row>
    <row r="53" spans="3:4" ht="18" customHeight="1">
      <c r="C53" s="22" t="s">
        <v>588</v>
      </c>
      <c r="D53" s="45"/>
    </row>
    <row r="54" spans="3:4" ht="18" customHeight="1">
      <c r="C54" s="22" t="s">
        <v>589</v>
      </c>
      <c r="D54" s="45"/>
    </row>
    <row r="55" spans="3:4" ht="18" customHeight="1">
      <c r="C55" s="22" t="s">
        <v>590</v>
      </c>
      <c r="D55" s="45"/>
    </row>
    <row r="56" spans="3:4" ht="18" customHeight="1">
      <c r="C56" s="22" t="s">
        <v>591</v>
      </c>
      <c r="D56" s="45"/>
    </row>
    <row r="57" spans="3:4" ht="18" customHeight="1">
      <c r="C57" s="22" t="s">
        <v>592</v>
      </c>
      <c r="D57" s="45"/>
    </row>
    <row r="58" spans="3:4" ht="18" customHeight="1">
      <c r="C58" s="22" t="s">
        <v>593</v>
      </c>
      <c r="D58" s="45"/>
    </row>
    <row r="59" spans="3:4" ht="18" customHeight="1">
      <c r="C59" s="22" t="s">
        <v>594</v>
      </c>
      <c r="D59" s="45"/>
    </row>
    <row r="60" spans="3:4" ht="18" customHeight="1">
      <c r="C60" s="22" t="s">
        <v>595</v>
      </c>
      <c r="D60" s="45"/>
    </row>
    <row r="61" spans="3:4" ht="18" customHeight="1">
      <c r="C61" s="22" t="s">
        <v>596</v>
      </c>
      <c r="D61" s="45"/>
    </row>
    <row r="62" spans="3:4" ht="18" customHeight="1">
      <c r="C62" s="22" t="s">
        <v>597</v>
      </c>
      <c r="D62" s="45"/>
    </row>
  </sheetData>
  <sheetProtection sheet="1" objects="1" scenarios="1"/>
  <conditionalFormatting sqref="D48:D62">
    <cfRule type="expression" dxfId="59" priority="19">
      <formula>IF(CELL("Zeile",D48)&lt;$D$46+CELL("Zeile",$D$48),1,0)</formula>
    </cfRule>
  </conditionalFormatting>
  <conditionalFormatting sqref="D49:D62">
    <cfRule type="expression" dxfId="58" priority="18">
      <formula>IF(CELL(D49)&lt;$D$36+27,1,0)</formula>
    </cfRule>
  </conditionalFormatting>
  <conditionalFormatting sqref="D23">
    <cfRule type="expression" dxfId="57" priority="17">
      <formula>IF($D$22=$H$22,1,0)</formula>
    </cfRule>
  </conditionalFormatting>
  <conditionalFormatting sqref="D31">
    <cfRule type="expression" dxfId="56" priority="6">
      <formula>IF($D$18="synthetisch",1,0)</formula>
    </cfRule>
  </conditionalFormatting>
  <conditionalFormatting sqref="D28">
    <cfRule type="expression" dxfId="55" priority="4">
      <formula>IF(AND($D$27=$I$27,$D$26=$H$26),1,0)</formula>
    </cfRule>
  </conditionalFormatting>
  <conditionalFormatting sqref="D26:D28">
    <cfRule type="expression" dxfId="54" priority="7">
      <formula>IF($D$18="analytisch",1,0)</formula>
    </cfRule>
  </conditionalFormatting>
  <conditionalFormatting sqref="D27">
    <cfRule type="expression" dxfId="53" priority="5">
      <formula>IF($D$26="nein",1)</formula>
    </cfRule>
  </conditionalFormatting>
  <conditionalFormatting sqref="D15">
    <cfRule type="expression" dxfId="52" priority="2">
      <formula>IF($D$11="Gaspool",1,0)</formula>
    </cfRule>
  </conditionalFormatting>
  <conditionalFormatting sqref="D16">
    <cfRule type="expression" dxfId="51" priority="1">
      <formula>IF($D$11="NCG",1,0)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D32" sqref="D32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541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Stadtwerke Neu-Isenburg GmbH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Neu-Isenburg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9870007100009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42370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1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1</v>
      </c>
      <c r="G10" s="57"/>
      <c r="H10" s="171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600</v>
      </c>
      <c r="D11" s="129"/>
      <c r="E11" s="129"/>
      <c r="F11" s="333" t="str">
        <f>INDEX('SLP-Verfahren'!D48:D62,'SLP-Temp-Gebiet #01'!F10)</f>
        <v>Neu-Isenburg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581</v>
      </c>
      <c r="D13" s="342"/>
      <c r="E13" s="342"/>
      <c r="F13" s="181" t="s">
        <v>545</v>
      </c>
      <c r="G13" s="129" t="s">
        <v>543</v>
      </c>
      <c r="H13" s="261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569</v>
      </c>
      <c r="H14" s="51">
        <v>0</v>
      </c>
      <c r="I14" s="57"/>
      <c r="J14" s="129"/>
      <c r="K14" s="129"/>
      <c r="L14" s="129"/>
      <c r="M14" s="129"/>
      <c r="N14" s="129"/>
      <c r="O14" s="332" t="s">
        <v>648</v>
      </c>
      <c r="R14" s="207" t="s">
        <v>561</v>
      </c>
      <c r="S14" s="207" t="s">
        <v>562</v>
      </c>
      <c r="T14" s="207" t="s">
        <v>563</v>
      </c>
      <c r="U14" s="207" t="s">
        <v>564</v>
      </c>
      <c r="V14" s="207" t="s">
        <v>544</v>
      </c>
      <c r="W14" s="207" t="s">
        <v>565</v>
      </c>
      <c r="X14" s="207" t="s">
        <v>566</v>
      </c>
      <c r="Y14" s="207" t="s">
        <v>567</v>
      </c>
      <c r="Z14" s="207" t="s">
        <v>568</v>
      </c>
      <c r="AA14" s="207" t="s">
        <v>569</v>
      </c>
      <c r="AB14" s="207" t="s">
        <v>570</v>
      </c>
      <c r="AC14" s="207" t="s">
        <v>571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70</v>
      </c>
      <c r="G15" s="263" t="s">
        <v>563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492</v>
      </c>
      <c r="AI15" s="260" t="s">
        <v>546</v>
      </c>
      <c r="AJ15" s="260" t="s">
        <v>547</v>
      </c>
      <c r="AK15" s="260" t="s">
        <v>548</v>
      </c>
      <c r="AL15" s="260" t="s">
        <v>549</v>
      </c>
      <c r="AM15" s="260" t="s">
        <v>550</v>
      </c>
      <c r="AN15" s="260" t="s">
        <v>551</v>
      </c>
      <c r="AO15" s="260" t="s">
        <v>552</v>
      </c>
      <c r="AP15" s="260" t="s">
        <v>553</v>
      </c>
      <c r="AQ15" s="260" t="s">
        <v>554</v>
      </c>
      <c r="AR15" s="260" t="s">
        <v>555</v>
      </c>
      <c r="AS15" s="260" t="s">
        <v>556</v>
      </c>
      <c r="AT15" s="260" t="s">
        <v>557</v>
      </c>
      <c r="AU15" s="260" t="s">
        <v>558</v>
      </c>
      <c r="AV15" s="260" t="s">
        <v>559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515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521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516</v>
      </c>
      <c r="D20" s="178" t="s">
        <v>512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523</v>
      </c>
      <c r="D21" s="152" t="s">
        <v>514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534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501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518</v>
      </c>
      <c r="D24" s="186"/>
      <c r="E24" s="155" t="s">
        <v>663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3" t="s">
        <v>519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513</v>
      </c>
      <c r="D25" s="186"/>
      <c r="E25" s="159">
        <v>10637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524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530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510</v>
      </c>
      <c r="F34" s="155" t="s">
        <v>510</v>
      </c>
      <c r="G34" s="155" t="s">
        <v>510</v>
      </c>
      <c r="H34" s="155" t="s">
        <v>510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510</v>
      </c>
      <c r="S34" s="67" t="s">
        <v>511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602</v>
      </c>
      <c r="D35" s="152" t="s">
        <v>603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3" t="s">
        <v>141</v>
      </c>
      <c r="Q35" s="209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535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528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529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526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527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532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533</v>
      </c>
      <c r="D46" s="199" t="s">
        <v>531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531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576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516</v>
      </c>
      <c r="D54" s="178" t="s">
        <v>512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523</v>
      </c>
      <c r="D55" s="152" t="s">
        <v>514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534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518</v>
      </c>
      <c r="D58" s="186"/>
      <c r="E58" s="155" t="str">
        <f>E24</f>
        <v>Frankfurt/Flughafen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519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513</v>
      </c>
      <c r="D59" s="186"/>
      <c r="E59" s="159">
        <f>E25</f>
        <v>10637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524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530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602</v>
      </c>
      <c r="D69" s="152" t="s">
        <v>603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442</v>
      </c>
      <c r="D70" s="118" t="s">
        <v>535</v>
      </c>
      <c r="E70" s="162" t="s">
        <v>452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577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2 F23:N25">
    <cfRule type="expression" dxfId="49" priority="30">
      <formula>IF(E$20&lt;=$F$18,1,0)</formula>
    </cfRule>
  </conditionalFormatting>
  <conditionalFormatting sqref="E32:N36">
    <cfRule type="expression" dxfId="48" priority="29">
      <formula>IF(E$30&lt;=$F$28,1,0)</formula>
    </cfRule>
  </conditionalFormatting>
  <conditionalFormatting sqref="E26:F26">
    <cfRule type="expression" dxfId="47" priority="28">
      <formula>IF(E$20&lt;=$F$18,1,0)</formula>
    </cfRule>
  </conditionalFormatting>
  <conditionalFormatting sqref="E26:N26">
    <cfRule type="expression" dxfId="46" priority="27">
      <formula>IF(E$20&lt;=$F$18,1,0)</formula>
    </cfRule>
  </conditionalFormatting>
  <conditionalFormatting sqref="E56:N59">
    <cfRule type="expression" dxfId="45" priority="24">
      <formula>IF(E$54&lt;=$F$52,1,0)</formula>
    </cfRule>
  </conditionalFormatting>
  <conditionalFormatting sqref="E60:N60">
    <cfRule type="expression" dxfId="44" priority="23">
      <formula>IF(E$54&lt;=$F$52,1,0)</formula>
    </cfRule>
  </conditionalFormatting>
  <conditionalFormatting sqref="E66:N68">
    <cfRule type="expression" dxfId="43" priority="17">
      <formula>IF(E$64&lt;=$F$62,1,0)</formula>
    </cfRule>
  </conditionalFormatting>
  <conditionalFormatting sqref="E65:N68 E70:N70">
    <cfRule type="expression" dxfId="42" priority="15">
      <formula>IF(E$64&gt;$F$62,1,0)</formula>
    </cfRule>
  </conditionalFormatting>
  <conditionalFormatting sqref="E56:N60">
    <cfRule type="expression" dxfId="41" priority="14">
      <formula>IF(E$54&gt;$F$52,1,0)</formula>
    </cfRule>
  </conditionalFormatting>
  <conditionalFormatting sqref="E21:N22 E26:N26 F23:N25">
    <cfRule type="expression" dxfId="40" priority="13">
      <formula>IF(E$20&gt;$F$18,1,0)</formula>
    </cfRule>
  </conditionalFormatting>
  <conditionalFormatting sqref="E32:N36">
    <cfRule type="expression" dxfId="39" priority="12">
      <formula>IF(E$30&gt;$F$28,1,0)</formula>
    </cfRule>
  </conditionalFormatting>
  <conditionalFormatting sqref="H11 H8:H9">
    <cfRule type="expression" dxfId="38" priority="11">
      <formula>IF($F$9=1,1,0)</formula>
    </cfRule>
  </conditionalFormatting>
  <conditionalFormatting sqref="E55:N55">
    <cfRule type="expression" dxfId="37" priority="10">
      <formula>IF(E$54&gt;$F$52,1,0)</formula>
    </cfRule>
  </conditionalFormatting>
  <conditionalFormatting sqref="E31:N31">
    <cfRule type="expression" dxfId="36" priority="9">
      <formula>IF(E$30&gt;$F$28,1,0)</formula>
    </cfRule>
  </conditionalFormatting>
  <conditionalFormatting sqref="E70:N70">
    <cfRule type="expression" dxfId="35" priority="8">
      <formula>IF(E$64&lt;=$F$62,1,0)</formula>
    </cfRule>
  </conditionalFormatting>
  <conditionalFormatting sqref="H10">
    <cfRule type="expression" dxfId="34" priority="7">
      <formula>IF($F$9=1,1,0)</formula>
    </cfRule>
  </conditionalFormatting>
  <conditionalFormatting sqref="E69:N69">
    <cfRule type="expression" dxfId="33" priority="4">
      <formula>IF(E$64&lt;=$F$62,1,0)</formula>
    </cfRule>
  </conditionalFormatting>
  <conditionalFormatting sqref="E69:N69">
    <cfRule type="expression" dxfId="32" priority="3">
      <formula>IF(E$64&gt;$F$62,1,0)</formula>
    </cfRule>
  </conditionalFormatting>
  <conditionalFormatting sqref="E23:E25">
    <cfRule type="expression" dxfId="31" priority="2">
      <formula>IF(E$20&lt;=$F$18,1,0)</formula>
    </cfRule>
  </conditionalFormatting>
  <conditionalFormatting sqref="E23:E25">
    <cfRule type="expression" dxfId="30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541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Stadtwerke Neu-Isenburg GmbH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Neu-Isenburg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9870007100009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42370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1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2</v>
      </c>
      <c r="G10" s="57"/>
      <c r="H10" s="171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600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581</v>
      </c>
      <c r="D13" s="342"/>
      <c r="E13" s="342"/>
      <c r="F13" s="181" t="s">
        <v>545</v>
      </c>
      <c r="G13" s="129" t="s">
        <v>543</v>
      </c>
      <c r="H13" s="261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569</v>
      </c>
      <c r="H14" s="51">
        <v>0</v>
      </c>
      <c r="I14" s="57"/>
      <c r="J14" s="129"/>
      <c r="K14" s="129"/>
      <c r="L14" s="129"/>
      <c r="M14" s="129"/>
      <c r="N14" s="129"/>
      <c r="O14" s="332" t="s">
        <v>648</v>
      </c>
      <c r="R14" s="207" t="s">
        <v>561</v>
      </c>
      <c r="S14" s="207" t="s">
        <v>562</v>
      </c>
      <c r="T14" s="207" t="s">
        <v>563</v>
      </c>
      <c r="U14" s="207" t="s">
        <v>564</v>
      </c>
      <c r="V14" s="207" t="s">
        <v>544</v>
      </c>
      <c r="W14" s="207" t="s">
        <v>565</v>
      </c>
      <c r="X14" s="207" t="s">
        <v>566</v>
      </c>
      <c r="Y14" s="207" t="s">
        <v>567</v>
      </c>
      <c r="Z14" s="207" t="s">
        <v>568</v>
      </c>
      <c r="AA14" s="207" t="s">
        <v>569</v>
      </c>
      <c r="AB14" s="207" t="s">
        <v>570</v>
      </c>
      <c r="AC14" s="207" t="s">
        <v>571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70</v>
      </c>
      <c r="G15" s="263" t="s">
        <v>563</v>
      </c>
      <c r="H15" s="51">
        <v>0</v>
      </c>
      <c r="I15" s="57"/>
      <c r="J15" s="129"/>
      <c r="K15" s="129"/>
      <c r="L15" s="129"/>
      <c r="M15" s="129"/>
      <c r="N15" s="129"/>
      <c r="O15" s="160" t="s">
        <v>525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492</v>
      </c>
      <c r="AI15" s="260" t="s">
        <v>546</v>
      </c>
      <c r="AJ15" s="260" t="s">
        <v>547</v>
      </c>
      <c r="AK15" s="260" t="s">
        <v>548</v>
      </c>
      <c r="AL15" s="260" t="s">
        <v>549</v>
      </c>
      <c r="AM15" s="260" t="s">
        <v>550</v>
      </c>
      <c r="AN15" s="260" t="s">
        <v>551</v>
      </c>
      <c r="AO15" s="260" t="s">
        <v>552</v>
      </c>
      <c r="AP15" s="260" t="s">
        <v>553</v>
      </c>
      <c r="AQ15" s="260" t="s">
        <v>554</v>
      </c>
      <c r="AR15" s="260" t="s">
        <v>555</v>
      </c>
      <c r="AS15" s="260" t="s">
        <v>556</v>
      </c>
      <c r="AT15" s="260" t="s">
        <v>557</v>
      </c>
      <c r="AU15" s="260" t="s">
        <v>558</v>
      </c>
      <c r="AV15" s="260" t="s">
        <v>559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515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521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516</v>
      </c>
      <c r="D20" s="178" t="s">
        <v>512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523</v>
      </c>
      <c r="D21" s="152" t="s">
        <v>514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534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501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518</v>
      </c>
      <c r="D24" s="186"/>
      <c r="E24" s="155" t="s">
        <v>578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3" t="s">
        <v>519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513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524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530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510</v>
      </c>
      <c r="F34" s="155" t="s">
        <v>510</v>
      </c>
      <c r="G34" s="155" t="s">
        <v>510</v>
      </c>
      <c r="H34" s="155" t="s">
        <v>510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510</v>
      </c>
      <c r="S34" s="67" t="s">
        <v>511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602</v>
      </c>
      <c r="D35" s="152" t="s">
        <v>603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3" t="s">
        <v>141</v>
      </c>
      <c r="Q35" s="209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535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528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529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526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527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532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533</v>
      </c>
      <c r="D46" s="199" t="s">
        <v>531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531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576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516</v>
      </c>
      <c r="D54" s="178" t="s">
        <v>512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523</v>
      </c>
      <c r="D55" s="152" t="s">
        <v>514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534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518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519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513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524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530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602</v>
      </c>
      <c r="D69" s="152" t="s">
        <v>603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442</v>
      </c>
      <c r="D70" s="118" t="s">
        <v>535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4" t="s">
        <v>577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M14" sqref="M14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Neu-Isenburg GmbH</v>
      </c>
      <c r="E5" s="129"/>
      <c r="J5" s="88" t="s">
        <v>496</v>
      </c>
      <c r="K5" s="130" t="s">
        <v>499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Neu-Isenburg</v>
      </c>
      <c r="E6" s="129"/>
      <c r="F6" s="129"/>
      <c r="K6" s="130" t="s">
        <v>507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9870007100009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42370</v>
      </c>
      <c r="E8" s="129"/>
      <c r="F8" s="129"/>
      <c r="H8" s="127" t="s">
        <v>494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493</v>
      </c>
      <c r="D10" s="133" t="s">
        <v>146</v>
      </c>
      <c r="E10" s="272" t="s">
        <v>509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632</v>
      </c>
      <c r="M10" s="149" t="s">
        <v>641</v>
      </c>
      <c r="N10" s="150" t="s">
        <v>642</v>
      </c>
      <c r="O10" s="150" t="s">
        <v>643</v>
      </c>
      <c r="P10" s="151" t="s">
        <v>644</v>
      </c>
      <c r="Q10" s="145" t="s">
        <v>633</v>
      </c>
      <c r="R10" s="135" t="s">
        <v>634</v>
      </c>
      <c r="S10" s="136" t="s">
        <v>635</v>
      </c>
      <c r="T10" s="136" t="s">
        <v>636</v>
      </c>
      <c r="U10" s="136" t="s">
        <v>637</v>
      </c>
      <c r="V10" s="136" t="s">
        <v>638</v>
      </c>
      <c r="W10" s="136" t="s">
        <v>639</v>
      </c>
      <c r="X10" s="137" t="s">
        <v>640</v>
      </c>
      <c r="Y10" s="294" t="s">
        <v>645</v>
      </c>
    </row>
    <row r="11" spans="2:26" ht="15.75" thickBot="1">
      <c r="B11" s="138" t="s">
        <v>495</v>
      </c>
      <c r="C11" s="139" t="s">
        <v>508</v>
      </c>
      <c r="D11" s="293" t="s">
        <v>246</v>
      </c>
      <c r="E11" s="163" t="s">
        <v>664</v>
      </c>
      <c r="F11" s="295" t="str">
        <f>VLOOKUP($E11,'BDEW-Standard'!$B$3:$M$158,F$9,0)</f>
        <v>OK3</v>
      </c>
      <c r="H11" s="166">
        <f>ROUND(VLOOKUP($E11,'BDEW-Standard'!$B$3:$M$158,H$9,0),7)</f>
        <v>1.3554515</v>
      </c>
      <c r="I11" s="166">
        <f>ROUND(VLOOKUP($E11,'BDEW-Standard'!$B$3:$M$158,I$9,0),7)</f>
        <v>-35.141256300000002</v>
      </c>
      <c r="J11" s="166">
        <f>ROUND(VLOOKUP($E11,'BDEW-Standard'!$B$3:$M$158,J$9,0),7)</f>
        <v>7.1303394999999998</v>
      </c>
      <c r="K11" s="166">
        <f>ROUND(VLOOKUP($E11,'BDEW-Standard'!$B$3:$M$158,K$9,0),7)</f>
        <v>9.9061899999999994E-2</v>
      </c>
      <c r="L11" s="335">
        <f>ROUND(VLOOKUP($E11,'BDEW-Standard'!$B$3:$M$158,L$9,0),1)</f>
        <v>40</v>
      </c>
      <c r="M11" s="166">
        <f>ROUND(VLOOKUP($E11,'BDEW-Standard'!$B$3:$M$158,M$9,0),7)</f>
        <v>-5.26487E-2</v>
      </c>
      <c r="N11" s="166">
        <f>ROUND(VLOOKUP($E11,'BDEW-Standard'!$B$3:$M$158,N$9,0),7)</f>
        <v>0.86260859999999995</v>
      </c>
      <c r="O11" s="166">
        <f>ROUND(VLOOKUP($E11,'BDEW-Standard'!$B$3:$M$158,O$9,0),7)</f>
        <v>-8.8080000000000005E-4</v>
      </c>
      <c r="P11" s="166">
        <f>ROUND(VLOOKUP($E11,'BDEW-Standard'!$B$3:$M$158,P$9,0),7)</f>
        <v>9.6401399999999998E-2</v>
      </c>
      <c r="Q11" s="336">
        <f>($H11/(1+($I11/($Q$9-$L11))^$J11)+$K11)+MAX($M11*$Q$9+$N11,$O11*$Q$9+$P11)</f>
        <v>0.99999998782262245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Neu-Isenburg</v>
      </c>
      <c r="D12" s="62" t="s">
        <v>246</v>
      </c>
      <c r="E12" s="164" t="s">
        <v>18</v>
      </c>
      <c r="F12" s="296" t="str">
        <f>VLOOKUP($E12,'BDEW-Standard'!$B$3:$M$158,F$9,0)</f>
        <v>F13</v>
      </c>
      <c r="H12" s="273">
        <f>ROUND(VLOOKUP($E12,'BDEW-Standard'!$B$3:$M$158,H$9,0),7)</f>
        <v>3.0553842000000002</v>
      </c>
      <c r="I12" s="273">
        <f>ROUND(VLOOKUP($E12,'BDEW-Standard'!$B$3:$M$158,I$9,0),7)</f>
        <v>-37.183637400000002</v>
      </c>
      <c r="J12" s="273">
        <f>ROUND(VLOOKUP($E12,'BDEW-Standard'!$B$3:$M$158,J$9,0),7)</f>
        <v>5.6810824999999996</v>
      </c>
      <c r="K12" s="273">
        <f>ROUND(VLOOKUP($E12,'BDEW-Standard'!$B$3:$M$158,K$9,0),7)</f>
        <v>9.5018400000000003E-2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1.008032029163995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Neu-Isenburg</v>
      </c>
      <c r="D13" s="62" t="s">
        <v>246</v>
      </c>
      <c r="E13" s="164" t="s">
        <v>26</v>
      </c>
      <c r="F13" s="296" t="str">
        <f>VLOOKUP($E13,'BDEW-Standard'!$B$3:$M$158,F$9,0)</f>
        <v>F23</v>
      </c>
      <c r="H13" s="273">
        <f>ROUND(VLOOKUP($E13,'BDEW-Standard'!$B$3:$M$158,H$9,0),7)</f>
        <v>2.3987552000000001</v>
      </c>
      <c r="I13" s="273">
        <f>ROUND(VLOOKUP($E13,'BDEW-Standard'!$B$3:$M$158,I$9,0),7)</f>
        <v>-34.723487800000001</v>
      </c>
      <c r="J13" s="273">
        <f>ROUND(VLOOKUP($E13,'BDEW-Standard'!$B$3:$M$158,J$9,0),7)</f>
        <v>5.7996445999999997</v>
      </c>
      <c r="K13" s="273">
        <f>ROUND(VLOOKUP($E13,'BDEW-Standard'!$B$3:$M$158,K$9,0),7)</f>
        <v>0.1175349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1.0380253961614969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Neu-Isenburg</v>
      </c>
      <c r="D14" s="62" t="s">
        <v>246</v>
      </c>
      <c r="E14" s="164" t="s">
        <v>665</v>
      </c>
      <c r="F14" s="296" t="str">
        <f>VLOOKUP($E14,'BDEW-Standard'!$B$3:$M$158,F$9,0)</f>
        <v>D13</v>
      </c>
      <c r="H14" s="273">
        <f>ROUND(VLOOKUP($E14,'BDEW-Standard'!$B$3:$M$158,H$9,0),7)</f>
        <v>3.0469694999999999</v>
      </c>
      <c r="I14" s="273">
        <f>ROUND(VLOOKUP($E14,'BDEW-Standard'!$B$3:$M$158,I$9,0),7)</f>
        <v>-37.183314099999997</v>
      </c>
      <c r="J14" s="273">
        <f>ROUND(VLOOKUP($E14,'BDEW-Standard'!$B$3:$M$158,J$9,0),7)</f>
        <v>5.6727847000000002</v>
      </c>
      <c r="K14" s="273">
        <f>ROUND(VLOOKUP($E14,'BDEW-Standard'!$B$3:$M$158,K$9,0),7)</f>
        <v>9.6193100000000004E-2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1.0075192723557669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Neu-Isenburg</v>
      </c>
      <c r="D15" s="62" t="s">
        <v>246</v>
      </c>
      <c r="E15" s="164" t="s">
        <v>666</v>
      </c>
      <c r="F15" s="296" t="str">
        <f>VLOOKUP($E15,'BDEW-Standard'!$B$3:$M$158,F$9,0)</f>
        <v>KM3</v>
      </c>
      <c r="H15" s="273">
        <f>ROUND(VLOOKUP($E15,'BDEW-Standard'!$B$3:$M$158,H$9,0),7)</f>
        <v>1.4202418999999999</v>
      </c>
      <c r="I15" s="273">
        <f>ROUND(VLOOKUP($E15,'BDEW-Standard'!$B$3:$M$158,I$9,0),7)</f>
        <v>-34.880612999999997</v>
      </c>
      <c r="J15" s="273">
        <f>ROUND(VLOOKUP($E15,'BDEW-Standard'!$B$3:$M$158,J$9,0),7)</f>
        <v>6.5951899000000003</v>
      </c>
      <c r="K15" s="273">
        <f>ROUND(VLOOKUP($E15,'BDEW-Standard'!$B$3:$M$158,K$9,0),7)</f>
        <v>3.8531700000000002E-2</v>
      </c>
      <c r="L15" s="337">
        <f>ROUND(VLOOKUP($E15,'BDEW-Standard'!$B$3:$M$158,L$9,0),1)</f>
        <v>40</v>
      </c>
      <c r="M15" s="273">
        <f>ROUND(VLOOKUP($E15,'BDEW-Standard'!$B$3:$M$158,M$9,0),7)</f>
        <v>-5.2108399999999999E-2</v>
      </c>
      <c r="N15" s="273">
        <f>ROUND(VLOOKUP($E15,'BDEW-Standard'!$B$3:$M$158,N$9,0),7)</f>
        <v>0.86479189999999995</v>
      </c>
      <c r="O15" s="273">
        <f>ROUND(VLOOKUP($E15,'BDEW-Standard'!$B$3:$M$158,O$9,0),7)</f>
        <v>-1.4369000000000001E-3</v>
      </c>
      <c r="P15" s="273">
        <f>ROUND(VLOOKUP($E15,'BDEW-Standard'!$B$3:$M$158,P$9,0),7)</f>
        <v>6.3760200000000003E-2</v>
      </c>
      <c r="Q15" s="338">
        <f t="shared" si="1"/>
        <v>1.0000002125085892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Neu-Isenburg</v>
      </c>
      <c r="D16" s="62" t="s">
        <v>246</v>
      </c>
      <c r="E16" s="164" t="s">
        <v>667</v>
      </c>
      <c r="F16" s="296" t="str">
        <f>VLOOKUP($E16,'BDEW-Standard'!$B$3:$M$158,F$9,0)</f>
        <v>AH3</v>
      </c>
      <c r="H16" s="273">
        <f>ROUND(VLOOKUP($E16,'BDEW-Standard'!$B$3:$M$158,H$9,0),7)</f>
        <v>1.9724775000000001</v>
      </c>
      <c r="I16" s="273">
        <f>ROUND(VLOOKUP($E16,'BDEW-Standard'!$B$3:$M$158,I$9,0),7)</f>
        <v>-36.965006500000001</v>
      </c>
      <c r="J16" s="273">
        <f>ROUND(VLOOKUP($E16,'BDEW-Standard'!$B$3:$M$158,J$9,0),7)</f>
        <v>7.2256947</v>
      </c>
      <c r="K16" s="273">
        <f>ROUND(VLOOKUP($E16,'BDEW-Standard'!$B$3:$M$158,K$9,0),7)</f>
        <v>3.4578200000000003E-2</v>
      </c>
      <c r="L16" s="337">
        <f>ROUND(VLOOKUP($E16,'BDEW-Standard'!$B$3:$M$158,L$9,0),1)</f>
        <v>40</v>
      </c>
      <c r="M16" s="273">
        <f>ROUND(VLOOKUP($E16,'BDEW-Standard'!$B$3:$M$158,M$9,0),7)</f>
        <v>-7.4217400000000003E-2</v>
      </c>
      <c r="N16" s="273">
        <f>ROUND(VLOOKUP($E16,'BDEW-Standard'!$B$3:$M$158,N$9,0),7)</f>
        <v>1.0448869000000001</v>
      </c>
      <c r="O16" s="273">
        <f>ROUND(VLOOKUP($E16,'BDEW-Standard'!$B$3:$M$158,O$9,0),7)</f>
        <v>-8.2950000000000005E-4</v>
      </c>
      <c r="P16" s="273">
        <f>ROUND(VLOOKUP($E16,'BDEW-Standard'!$B$3:$M$158,P$9,0),7)</f>
        <v>4.6179499999999998E-2</v>
      </c>
      <c r="Q16" s="338">
        <f t="shared" si="1"/>
        <v>1.0000000832749945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Neu-Isenburg</v>
      </c>
      <c r="D17" s="62" t="s">
        <v>246</v>
      </c>
      <c r="E17" s="164" t="s">
        <v>664</v>
      </c>
      <c r="F17" s="296" t="str">
        <f>VLOOKUP($E17,'BDEW-Standard'!$B$3:$M$158,F$9,0)</f>
        <v>OK3</v>
      </c>
      <c r="H17" s="273">
        <f>ROUND(VLOOKUP($E17,'BDEW-Standard'!$B$3:$M$158,H$9,0),7)</f>
        <v>1.3554515</v>
      </c>
      <c r="I17" s="273">
        <f>ROUND(VLOOKUP($E17,'BDEW-Standard'!$B$3:$M$158,I$9,0),7)</f>
        <v>-35.141256300000002</v>
      </c>
      <c r="J17" s="273">
        <f>ROUND(VLOOKUP($E17,'BDEW-Standard'!$B$3:$M$158,J$9,0),7)</f>
        <v>7.1303394999999998</v>
      </c>
      <c r="K17" s="273">
        <f>ROUND(VLOOKUP($E17,'BDEW-Standard'!$B$3:$M$158,K$9,0),7)</f>
        <v>9.9061899999999994E-2</v>
      </c>
      <c r="L17" s="337">
        <f>ROUND(VLOOKUP($E17,'BDEW-Standard'!$B$3:$M$158,L$9,0),1)</f>
        <v>40</v>
      </c>
      <c r="M17" s="273">
        <f>ROUND(VLOOKUP($E17,'BDEW-Standard'!$B$3:$M$158,M$9,0),7)</f>
        <v>-5.26487E-2</v>
      </c>
      <c r="N17" s="273">
        <f>ROUND(VLOOKUP($E17,'BDEW-Standard'!$B$3:$M$158,N$9,0),7)</f>
        <v>0.86260859999999995</v>
      </c>
      <c r="O17" s="273">
        <f>ROUND(VLOOKUP($E17,'BDEW-Standard'!$B$3:$M$158,O$9,0),7)</f>
        <v>-8.8080000000000005E-4</v>
      </c>
      <c r="P17" s="273">
        <f>ROUND(VLOOKUP($E17,'BDEW-Standard'!$B$3:$M$158,P$9,0),7)</f>
        <v>9.6401399999999998E-2</v>
      </c>
      <c r="Q17" s="338">
        <f t="shared" si="1"/>
        <v>0.99999998782262245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Neu-Isenburg</v>
      </c>
      <c r="D18" s="62" t="s">
        <v>246</v>
      </c>
      <c r="E18" s="164" t="s">
        <v>668</v>
      </c>
      <c r="F18" s="296" t="str">
        <f>VLOOKUP($E18,'BDEW-Standard'!$B$3:$M$158,F$9,0)</f>
        <v>DB3</v>
      </c>
      <c r="H18" s="273">
        <f>ROUND(VLOOKUP($E18,'BDEW-Standard'!$B$3:$M$158,H$9,0),7)</f>
        <v>1.4633681999999999</v>
      </c>
      <c r="I18" s="273">
        <f>ROUND(VLOOKUP($E18,'BDEW-Standard'!$B$3:$M$158,I$9,0),7)</f>
        <v>-36.179411700000003</v>
      </c>
      <c r="J18" s="273">
        <f>ROUND(VLOOKUP($E18,'BDEW-Standard'!$B$3:$M$158,J$9,0),7)</f>
        <v>5.9265162</v>
      </c>
      <c r="K18" s="273">
        <f>ROUND(VLOOKUP($E18,'BDEW-Standard'!$B$3:$M$158,K$9,0),7)</f>
        <v>8.0883499999999997E-2</v>
      </c>
      <c r="L18" s="337">
        <f>ROUND(VLOOKUP($E18,'BDEW-Standard'!$B$3:$M$158,L$9,0),1)</f>
        <v>40</v>
      </c>
      <c r="M18" s="273">
        <f>ROUND(VLOOKUP($E18,'BDEW-Standard'!$B$3:$M$158,M$9,0),7)</f>
        <v>-4.7579999999999997E-2</v>
      </c>
      <c r="N18" s="273">
        <f>ROUND(VLOOKUP($E18,'BDEW-Standard'!$B$3:$M$158,N$9,0),7)</f>
        <v>0.82307540000000001</v>
      </c>
      <c r="O18" s="273">
        <f>ROUND(VLOOKUP($E18,'BDEW-Standard'!$B$3:$M$158,O$9,0),7)</f>
        <v>-1.9273000000000001E-3</v>
      </c>
      <c r="P18" s="273">
        <f>ROUND(VLOOKUP($E18,'BDEW-Standard'!$B$3:$M$158,P$9,0),7)</f>
        <v>0.1077046</v>
      </c>
      <c r="Q18" s="338">
        <f t="shared" si="1"/>
        <v>0.99999993818735389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Neu-Isenburg</v>
      </c>
      <c r="D19" s="62" t="s">
        <v>246</v>
      </c>
      <c r="E19" s="164" t="s">
        <v>669</v>
      </c>
      <c r="F19" s="296" t="str">
        <f>VLOOKUP($E19,'BDEW-Standard'!$B$3:$M$158,F$9,0)</f>
        <v>AG3</v>
      </c>
      <c r="H19" s="273">
        <f>ROUND(VLOOKUP($E19,'BDEW-Standard'!$B$3:$M$158,H$9,0),7)</f>
        <v>1.1582082</v>
      </c>
      <c r="I19" s="273">
        <f>ROUND(VLOOKUP($E19,'BDEW-Standard'!$B$3:$M$158,I$9,0),7)</f>
        <v>-36.287858399999998</v>
      </c>
      <c r="J19" s="273">
        <f>ROUND(VLOOKUP($E19,'BDEW-Standard'!$B$3:$M$158,J$9,0),7)</f>
        <v>6.5885125999999996</v>
      </c>
      <c r="K19" s="273">
        <f>ROUND(VLOOKUP($E19,'BDEW-Standard'!$B$3:$M$158,K$9,0),7)</f>
        <v>0.22356799999999999</v>
      </c>
      <c r="L19" s="337">
        <f>ROUND(VLOOKUP($E19,'BDEW-Standard'!$B$3:$M$158,L$9,0),1)</f>
        <v>40</v>
      </c>
      <c r="M19" s="273">
        <f>ROUND(VLOOKUP($E19,'BDEW-Standard'!$B$3:$M$158,M$9,0),7)</f>
        <v>-4.1033500000000001E-2</v>
      </c>
      <c r="N19" s="273">
        <f>ROUND(VLOOKUP($E19,'BDEW-Standard'!$B$3:$M$158,N$9,0),7)</f>
        <v>0.75264509999999996</v>
      </c>
      <c r="O19" s="273">
        <f>ROUND(VLOOKUP($E19,'BDEW-Standard'!$B$3:$M$158,O$9,0),7)</f>
        <v>-9.0879999999999997E-4</v>
      </c>
      <c r="P19" s="273">
        <f>ROUND(VLOOKUP($E19,'BDEW-Standard'!$B$3:$M$158,P$9,0),7)</f>
        <v>0.1916641</v>
      </c>
      <c r="Q19" s="338">
        <f t="shared" si="1"/>
        <v>0.99999977999083423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Neu-Isenburg</v>
      </c>
      <c r="D20" s="62" t="s">
        <v>246</v>
      </c>
      <c r="E20" s="164" t="s">
        <v>670</v>
      </c>
      <c r="F20" s="296" t="str">
        <f>VLOOKUP($E20,'BDEW-Standard'!$B$3:$M$158,F$9,0)</f>
        <v>HB3</v>
      </c>
      <c r="H20" s="273">
        <f>ROUND(VLOOKUP($E20,'BDEW-Standard'!$B$3:$M$158,H$9,0),7)</f>
        <v>0.98742830000000004</v>
      </c>
      <c r="I20" s="273">
        <f>ROUND(VLOOKUP($E20,'BDEW-Standard'!$B$3:$M$158,I$9,0),7)</f>
        <v>-35.253212400000002</v>
      </c>
      <c r="J20" s="273">
        <f>ROUND(VLOOKUP($E20,'BDEW-Standard'!$B$3:$M$158,J$9,0),7)</f>
        <v>6.1544406</v>
      </c>
      <c r="K20" s="273">
        <f>ROUND(VLOOKUP($E20,'BDEW-Standard'!$B$3:$M$158,K$9,0),7)</f>
        <v>0.22657160000000001</v>
      </c>
      <c r="L20" s="337">
        <f>ROUND(VLOOKUP($E20,'BDEW-Standard'!$B$3:$M$158,L$9,0),1)</f>
        <v>40</v>
      </c>
      <c r="M20" s="273">
        <f>ROUND(VLOOKUP($E20,'BDEW-Standard'!$B$3:$M$158,M$9,0),7)</f>
        <v>-3.3902000000000002E-2</v>
      </c>
      <c r="N20" s="273">
        <f>ROUND(VLOOKUP($E20,'BDEW-Standard'!$B$3:$M$158,N$9,0),7)</f>
        <v>0.69382339999999998</v>
      </c>
      <c r="O20" s="273">
        <f>ROUND(VLOOKUP($E20,'BDEW-Standard'!$B$3:$M$158,O$9,0),7)</f>
        <v>-1.2849000000000001E-3</v>
      </c>
      <c r="P20" s="273">
        <f>ROUND(VLOOKUP($E20,'BDEW-Standard'!$B$3:$M$158,P$9,0),7)</f>
        <v>0.20297319999999999</v>
      </c>
      <c r="Q20" s="338">
        <f t="shared" si="1"/>
        <v>0.99999983700977324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Neu-Isenburg</v>
      </c>
      <c r="D21" s="62" t="s">
        <v>246</v>
      </c>
      <c r="E21" s="164" t="s">
        <v>671</v>
      </c>
      <c r="F21" s="296" t="str">
        <f>VLOOKUP($E21,'BDEW-Standard'!$B$3:$M$158,F$9,0)</f>
        <v>AW3</v>
      </c>
      <c r="H21" s="273">
        <f>ROUND(VLOOKUP($E21,'BDEW-Standard'!$B$3:$M$158,H$9,0),7)</f>
        <v>0.33378380000000002</v>
      </c>
      <c r="I21" s="273">
        <f>ROUND(VLOOKUP($E21,'BDEW-Standard'!$B$3:$M$158,I$9,0),7)</f>
        <v>-36.023791199999998</v>
      </c>
      <c r="J21" s="273">
        <f>ROUND(VLOOKUP($E21,'BDEW-Standard'!$B$3:$M$158,J$9,0),7)</f>
        <v>4.8662747</v>
      </c>
      <c r="K21" s="273">
        <f>ROUND(VLOOKUP($E21,'BDEW-Standard'!$B$3:$M$158,K$9,0),7)</f>
        <v>0.491228</v>
      </c>
      <c r="L21" s="337">
        <f>ROUND(VLOOKUP($E21,'BDEW-Standard'!$B$3:$M$158,L$9,0),1)</f>
        <v>40</v>
      </c>
      <c r="M21" s="273">
        <f>ROUND(VLOOKUP($E21,'BDEW-Standard'!$B$3:$M$158,M$9,0),7)</f>
        <v>-9.2262999999999998E-3</v>
      </c>
      <c r="N21" s="273">
        <f>ROUND(VLOOKUP($E21,'BDEW-Standard'!$B$3:$M$158,N$9,0),7)</f>
        <v>0.45957569999999998</v>
      </c>
      <c r="O21" s="273">
        <f>ROUND(VLOOKUP($E21,'BDEW-Standard'!$B$3:$M$158,O$9,0),7)</f>
        <v>-9.6759999999999999E-4</v>
      </c>
      <c r="P21" s="273">
        <f>ROUND(VLOOKUP($E21,'BDEW-Standard'!$B$3:$M$158,P$9,0),7)</f>
        <v>0.39642909999999998</v>
      </c>
      <c r="Q21" s="338">
        <f t="shared" si="1"/>
        <v>1.000000394217609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Neu-Isenburg</v>
      </c>
      <c r="D22" s="62" t="s">
        <v>246</v>
      </c>
      <c r="E22" s="164" t="s">
        <v>672</v>
      </c>
      <c r="F22" s="296" t="str">
        <f>VLOOKUP($E22,'BDEW-Standard'!$B$3:$M$158,F$9,0)</f>
        <v>DH3</v>
      </c>
      <c r="H22" s="273">
        <f>ROUND(VLOOKUP($E22,'BDEW-Standard'!$B$3:$M$158,H$9,0),7)</f>
        <v>1.3010622999999999</v>
      </c>
      <c r="I22" s="273">
        <f>ROUND(VLOOKUP($E22,'BDEW-Standard'!$B$3:$M$158,I$9,0),7)</f>
        <v>-35.681614400000001</v>
      </c>
      <c r="J22" s="273">
        <f>ROUND(VLOOKUP($E22,'BDEW-Standard'!$B$3:$M$158,J$9,0),7)</f>
        <v>6.6857975999999999</v>
      </c>
      <c r="K22" s="273">
        <f>ROUND(VLOOKUP($E22,'BDEW-Standard'!$B$3:$M$158,K$9,0),7)</f>
        <v>0.14092669999999999</v>
      </c>
      <c r="L22" s="337">
        <f>ROUND(VLOOKUP($E22,'BDEW-Standard'!$B$3:$M$158,L$9,0),1)</f>
        <v>40</v>
      </c>
      <c r="M22" s="273">
        <f>ROUND(VLOOKUP($E22,'BDEW-Standard'!$B$3:$M$158,M$9,0),7)</f>
        <v>-4.7342799999999997E-2</v>
      </c>
      <c r="N22" s="273">
        <f>ROUND(VLOOKUP($E22,'BDEW-Standard'!$B$3:$M$158,N$9,0),7)</f>
        <v>0.81416909999999998</v>
      </c>
      <c r="O22" s="273">
        <f>ROUND(VLOOKUP($E22,'BDEW-Standard'!$B$3:$M$158,O$9,0),7)</f>
        <v>-1.0601E-3</v>
      </c>
      <c r="P22" s="273">
        <f>ROUND(VLOOKUP($E22,'BDEW-Standard'!$B$3:$M$158,P$9,0),7)</f>
        <v>0.13250919999999999</v>
      </c>
      <c r="Q22" s="338">
        <f t="shared" si="1"/>
        <v>1.000000069455792</v>
      </c>
      <c r="R22" s="274">
        <f>ROUND(VLOOKUP(MID($E22,4,3),'Wochentag F(WT)'!$B$7:$J$22,R$9,0),4)</f>
        <v>1.03</v>
      </c>
      <c r="S22" s="274">
        <f>ROUND(VLOOKUP(MID($E22,4,3),'Wochentag F(WT)'!$B$7:$J$22,S$9,0),4)</f>
        <v>1.03</v>
      </c>
      <c r="T22" s="274">
        <f>ROUND(VLOOKUP(MID($E22,4,3),'Wochentag F(WT)'!$B$7:$J$22,T$9,0),4)</f>
        <v>1.02</v>
      </c>
      <c r="U22" s="274">
        <f>ROUND(VLOOKUP(MID($E22,4,3),'Wochentag F(WT)'!$B$7:$J$22,U$9,0),4)</f>
        <v>1.03</v>
      </c>
      <c r="V22" s="274">
        <f>ROUND(VLOOKUP(MID($E22,4,3),'Wochentag F(WT)'!$B$7:$J$22,V$9,0),4)</f>
        <v>1.01</v>
      </c>
      <c r="W22" s="274">
        <f>ROUND(VLOOKUP(MID($E22,4,3),'Wochentag F(WT)'!$B$7:$J$22,W$9,0),4)</f>
        <v>0.93</v>
      </c>
      <c r="X22" s="275">
        <f t="shared" si="2"/>
        <v>0.95000000000000018</v>
      </c>
      <c r="Y22" s="292"/>
      <c r="Z22" s="210"/>
    </row>
    <row r="23" spans="2:26" s="142" customFormat="1">
      <c r="B23" s="143">
        <v>12</v>
      </c>
      <c r="C23" s="144" t="str">
        <f t="shared" si="0"/>
        <v>Neu-Isenburg</v>
      </c>
      <c r="D23" s="62" t="s">
        <v>246</v>
      </c>
      <c r="E23" s="164" t="s">
        <v>673</v>
      </c>
      <c r="F23" s="296" t="str">
        <f>VLOOKUP($E23,'BDEW-Standard'!$B$3:$M$158,F$9,0)</f>
        <v>BG3</v>
      </c>
      <c r="H23" s="273">
        <f>ROUND(VLOOKUP($E23,'BDEW-Standard'!$B$3:$M$158,H$9,0),7)</f>
        <v>1.8213778</v>
      </c>
      <c r="I23" s="273">
        <f>ROUND(VLOOKUP($E23,'BDEW-Standard'!$B$3:$M$158,I$9,0),7)</f>
        <v>-37.5</v>
      </c>
      <c r="J23" s="273">
        <f>ROUND(VLOOKUP($E23,'BDEW-Standard'!$B$3:$M$158,J$9,0),7)</f>
        <v>6.3462148000000003</v>
      </c>
      <c r="K23" s="273">
        <f>ROUND(VLOOKUP($E23,'BDEW-Standard'!$B$3:$M$158,K$9,0),7)</f>
        <v>6.7811800000000005E-2</v>
      </c>
      <c r="L23" s="337">
        <f>ROUND(VLOOKUP($E23,'BDEW-Standard'!$B$3:$M$158,L$9,0),1)</f>
        <v>40</v>
      </c>
      <c r="M23" s="273">
        <f>ROUND(VLOOKUP($E23,'BDEW-Standard'!$B$3:$M$158,M$9,0),7)</f>
        <v>-6.0766599999999997E-2</v>
      </c>
      <c r="N23" s="273">
        <f>ROUND(VLOOKUP($E23,'BDEW-Standard'!$B$3:$M$158,N$9,0),7)</f>
        <v>0.93081590000000003</v>
      </c>
      <c r="O23" s="273">
        <f>ROUND(VLOOKUP($E23,'BDEW-Standard'!$B$3:$M$158,O$9,0),7)</f>
        <v>-1.3967000000000001E-3</v>
      </c>
      <c r="P23" s="273">
        <f>ROUND(VLOOKUP($E23,'BDEW-Standard'!$B$3:$M$158,P$9,0),7)</f>
        <v>8.5039900000000002E-2</v>
      </c>
      <c r="Q23" s="338">
        <f t="shared" si="1"/>
        <v>0.99999980465705085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92"/>
      <c r="Z23" s="210"/>
    </row>
    <row r="24" spans="2:26" s="142" customFormat="1">
      <c r="B24" s="143">
        <v>13</v>
      </c>
      <c r="C24" s="144" t="str">
        <f t="shared" si="0"/>
        <v>Neu-Isenburg</v>
      </c>
      <c r="D24" s="62" t="s">
        <v>246</v>
      </c>
      <c r="E24" s="164" t="s">
        <v>674</v>
      </c>
      <c r="F24" s="296" t="str">
        <f>VLOOKUP($E24,'BDEW-Standard'!$B$3:$M$158,F$9,0)</f>
        <v>DP3</v>
      </c>
      <c r="H24" s="273">
        <f>ROUND(VLOOKUP($E24,'BDEW-Standard'!$B$3:$M$158,H$9,0),7)</f>
        <v>1.7110738999999999</v>
      </c>
      <c r="I24" s="273">
        <f>ROUND(VLOOKUP($E24,'BDEW-Standard'!$B$3:$M$158,I$9,0),7)</f>
        <v>-35.799999999999997</v>
      </c>
      <c r="J24" s="273">
        <f>ROUND(VLOOKUP($E24,'BDEW-Standard'!$B$3:$M$158,J$9,0),7)</f>
        <v>8.4</v>
      </c>
      <c r="K24" s="273">
        <f>ROUND(VLOOKUP($E24,'BDEW-Standard'!$B$3:$M$158,K$9,0),7)</f>
        <v>7.02546E-2</v>
      </c>
      <c r="L24" s="337">
        <f>ROUND(VLOOKUP($E24,'BDEW-Standard'!$B$3:$M$158,L$9,0),1)</f>
        <v>40</v>
      </c>
      <c r="M24" s="273">
        <f>ROUND(VLOOKUP($E24,'BDEW-Standard'!$B$3:$M$158,M$9,0),7)</f>
        <v>-7.4538099999999996E-2</v>
      </c>
      <c r="N24" s="273">
        <f>ROUND(VLOOKUP($E24,'BDEW-Standard'!$B$3:$M$158,N$9,0),7)</f>
        <v>1.0463005000000001</v>
      </c>
      <c r="O24" s="273">
        <f>ROUND(VLOOKUP($E24,'BDEW-Standard'!$B$3:$M$158,O$9,0),7)</f>
        <v>-3.6719999999999998E-4</v>
      </c>
      <c r="P24" s="273">
        <f>ROUND(VLOOKUP($E24,'BDEW-Standard'!$B$3:$M$158,P$9,0),7)</f>
        <v>6.2188199999999999E-2</v>
      </c>
      <c r="Q24" s="338">
        <f t="shared" si="1"/>
        <v>1.0000000773228386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2" customFormat="1">
      <c r="B25" s="143">
        <v>14</v>
      </c>
      <c r="C25" s="144" t="str">
        <f t="shared" si="0"/>
        <v>Neu-Isenburg</v>
      </c>
      <c r="D25" s="62" t="s">
        <v>246</v>
      </c>
      <c r="E25" s="164" t="s">
        <v>675</v>
      </c>
      <c r="F25" s="296" t="str">
        <f>VLOOKUP($E25,'BDEW-Standard'!$B$3:$M$158,F$9,0)</f>
        <v>MF3</v>
      </c>
      <c r="H25" s="273">
        <f>ROUND(VLOOKUP($E25,'BDEW-Standard'!$B$3:$M$158,H$9,0),7)</f>
        <v>2.3877617999999998</v>
      </c>
      <c r="I25" s="273">
        <f>ROUND(VLOOKUP($E25,'BDEW-Standard'!$B$3:$M$158,I$9,0),7)</f>
        <v>-34.721360500000003</v>
      </c>
      <c r="J25" s="273">
        <f>ROUND(VLOOKUP($E25,'BDEW-Standard'!$B$3:$M$158,J$9,0),7)</f>
        <v>5.8164303999999998</v>
      </c>
      <c r="K25" s="273">
        <f>ROUND(VLOOKUP($E25,'BDEW-Standard'!$B$3:$M$158,K$9,0),7)</f>
        <v>0.12081939999999999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1.0365184142102302</v>
      </c>
      <c r="R25" s="274">
        <f>ROUND(VLOOKUP(MID($E25,4,3),'Wochentag F(WT)'!$B$7:$J$22,R$9,0),4)</f>
        <v>1.0354000000000001</v>
      </c>
      <c r="S25" s="274">
        <f>ROUND(VLOOKUP(MID($E25,4,3),'Wochentag F(WT)'!$B$7:$J$22,S$9,0),4)</f>
        <v>1.0523</v>
      </c>
      <c r="T25" s="274">
        <f>ROUND(VLOOKUP(MID($E25,4,3),'Wochentag F(WT)'!$B$7:$J$22,T$9,0),4)</f>
        <v>1.0448999999999999</v>
      </c>
      <c r="U25" s="274">
        <f>ROUND(VLOOKUP(MID($E25,4,3),'Wochentag F(WT)'!$B$7:$J$22,U$9,0),4)</f>
        <v>1.0494000000000001</v>
      </c>
      <c r="V25" s="274">
        <f>ROUND(VLOOKUP(MID($E25,4,3),'Wochentag F(WT)'!$B$7:$J$22,V$9,0),4)</f>
        <v>0.98850000000000005</v>
      </c>
      <c r="W25" s="274">
        <f>ROUND(VLOOKUP(MID($E25,4,3),'Wochentag F(WT)'!$B$7:$J$22,W$9,0),4)</f>
        <v>0.88600000000000001</v>
      </c>
      <c r="X25" s="275">
        <f t="shared" si="2"/>
        <v>0.94349999999999934</v>
      </c>
      <c r="Y25" s="292"/>
      <c r="Z25" s="210"/>
    </row>
    <row r="26" spans="2:26" s="142" customFormat="1">
      <c r="B26" s="143">
        <v>15</v>
      </c>
      <c r="C26" s="144" t="str">
        <f t="shared" si="0"/>
        <v>Neu-Isenburg</v>
      </c>
      <c r="D26" s="62" t="s">
        <v>246</v>
      </c>
      <c r="E26" s="164" t="s">
        <v>676</v>
      </c>
      <c r="F26" s="296" t="str">
        <f>VLOOKUP($E26,'BDEW-Standard'!$B$3:$M$158,F$9,0)</f>
        <v>BA3</v>
      </c>
      <c r="H26" s="273">
        <f>ROUND(VLOOKUP($E26,'BDEW-Standard'!$B$3:$M$158,H$9,0),7)</f>
        <v>0.62619619999999998</v>
      </c>
      <c r="I26" s="273">
        <f>ROUND(VLOOKUP($E26,'BDEW-Standard'!$B$3:$M$158,I$9,0),7)</f>
        <v>-33</v>
      </c>
      <c r="J26" s="273">
        <f>ROUND(VLOOKUP($E26,'BDEW-Standard'!$B$3:$M$158,J$9,0),7)</f>
        <v>5.7212303000000002</v>
      </c>
      <c r="K26" s="273">
        <f>ROUND(VLOOKUP($E26,'BDEW-Standard'!$B$3:$M$158,K$9,0),7)</f>
        <v>0.78556550000000003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1.0711738317583412</v>
      </c>
      <c r="R26" s="274">
        <f>ROUND(VLOOKUP(MID($E26,4,3),'Wochentag F(WT)'!$B$7:$J$22,R$9,0),4)</f>
        <v>1.0848</v>
      </c>
      <c r="S26" s="274">
        <f>ROUND(VLOOKUP(MID($E26,4,3),'Wochentag F(WT)'!$B$7:$J$22,S$9,0),4)</f>
        <v>1.1211</v>
      </c>
      <c r="T26" s="274">
        <f>ROUND(VLOOKUP(MID($E26,4,3),'Wochentag F(WT)'!$B$7:$J$22,T$9,0),4)</f>
        <v>1.0769</v>
      </c>
      <c r="U26" s="274">
        <f>ROUND(VLOOKUP(MID($E26,4,3),'Wochentag F(WT)'!$B$7:$J$22,U$9,0),4)</f>
        <v>1.1353</v>
      </c>
      <c r="V26" s="274">
        <f>ROUND(VLOOKUP(MID($E26,4,3),'Wochentag F(WT)'!$B$7:$J$22,V$9,0),4)</f>
        <v>1.1402000000000001</v>
      </c>
      <c r="W26" s="274">
        <f>ROUND(VLOOKUP(MID($E26,4,3),'Wochentag F(WT)'!$B$7:$J$22,W$9,0),4)</f>
        <v>0.48520000000000002</v>
      </c>
      <c r="X26" s="275">
        <f t="shared" si="2"/>
        <v>0.95650000000000013</v>
      </c>
      <c r="Y26" s="292"/>
      <c r="Z26" s="210"/>
    </row>
    <row r="27" spans="2:26" s="142" customFormat="1">
      <c r="B27" s="143">
        <v>16</v>
      </c>
      <c r="C27" s="144" t="str">
        <f t="shared" si="0"/>
        <v>Neu-Isenburg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Neu-Isenburg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Neu-Isenburg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Neu-Isenburg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Neu-Isenburg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Neu-Isenburg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Neu-Isenburg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Neu-Isenburg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Neu-Isenburg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Neu-Isenburg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Neu-Isenburg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Neu-Isenburg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Neu-Isenburg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Neu-Isenburg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Neu-Isenburg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R11" sqref="R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Stadtwerke Neu-Isenburg GmbH</v>
      </c>
      <c r="D4" s="76"/>
      <c r="G4" s="76"/>
      <c r="I4" s="76"/>
      <c r="J4" s="77"/>
      <c r="M4" s="86" t="s">
        <v>536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Neu-Isenburg</v>
      </c>
      <c r="D5" s="37"/>
      <c r="E5" s="76"/>
      <c r="F5" s="76"/>
      <c r="G5" s="76"/>
      <c r="I5" s="76"/>
      <c r="J5" s="76"/>
      <c r="K5" s="76"/>
      <c r="L5" s="76"/>
      <c r="M5" s="88" t="s">
        <v>506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9870007100009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42370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580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1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653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646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652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453</v>
      </c>
      <c r="F1" s="213" t="s">
        <v>542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649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542</v>
      </c>
    </row>
    <row r="2" spans="1:16">
      <c r="A2" s="233"/>
      <c r="B2" s="232" t="s">
        <v>455</v>
      </c>
    </row>
    <row r="3" spans="1:16" ht="20.100000000000001" customHeight="1">
      <c r="A3" s="352" t="s">
        <v>247</v>
      </c>
      <c r="B3" s="234" t="s">
        <v>85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Hildebrandt Uwe</cp:lastModifiedBy>
  <cp:lastPrinted>2015-03-20T22:59:10Z</cp:lastPrinted>
  <dcterms:created xsi:type="dcterms:W3CDTF">2015-01-15T05:25:41Z</dcterms:created>
  <dcterms:modified xsi:type="dcterms:W3CDTF">2016-06-10T12:38:30Z</dcterms:modified>
</cp:coreProperties>
</file>